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我的雲端硬碟\Course\Microstructure characterization\"/>
    </mc:Choice>
  </mc:AlternateContent>
  <bookViews>
    <workbookView xWindow="0" yWindow="0" windowWidth="28800" windowHeight="12975" activeTab="1"/>
  </bookViews>
  <sheets>
    <sheet name="cubic" sheetId="6" r:id="rId1"/>
    <sheet name="tetragonal" sheetId="5" r:id="rId2"/>
    <sheet name="hexagonal" sheetId="3" r:id="rId3"/>
    <sheet name="rhombohedral" sheetId="2" r:id="rId4"/>
    <sheet name="orthorhombic" sheetId="4" r:id="rId5"/>
    <sheet name="monoclinic" sheetId="7" r:id="rId6"/>
    <sheet name="triclinic" sheetId="1" r:id="rId7"/>
    <sheet name="工作表1" sheetId="8" r:id="rId8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5" i="5" l="1"/>
  <c r="W14" i="5"/>
  <c r="T14" i="8"/>
  <c r="M14" i="8"/>
  <c r="M13" i="8"/>
  <c r="M11" i="8"/>
  <c r="M10" i="8"/>
  <c r="P9" i="8"/>
  <c r="O9" i="8"/>
  <c r="N9" i="8"/>
  <c r="M9" i="8"/>
  <c r="N8" i="8"/>
  <c r="M8" i="8"/>
  <c r="O6" i="5" l="1"/>
  <c r="O7" i="5" s="1"/>
  <c r="O6" i="6" l="1"/>
  <c r="H10" i="1" l="1"/>
  <c r="H10" i="2"/>
  <c r="H7" i="3" l="1"/>
  <c r="L8" i="1"/>
  <c r="K11" i="1" s="1"/>
  <c r="L9" i="1"/>
  <c r="K15" i="1" s="1"/>
  <c r="L7" i="1"/>
  <c r="K10" i="1" s="1"/>
  <c r="H13" i="1" s="1"/>
  <c r="L8" i="7"/>
  <c r="K11" i="7" s="1"/>
  <c r="O6" i="4"/>
  <c r="O7" i="4" s="1"/>
  <c r="H8" i="2"/>
  <c r="H7" i="2"/>
  <c r="O6" i="2"/>
  <c r="O7" i="2" s="1"/>
  <c r="K11" i="2"/>
  <c r="K10" i="2"/>
  <c r="L8" i="2"/>
  <c r="L7" i="2"/>
  <c r="O6" i="3"/>
  <c r="O7" i="3" s="1"/>
  <c r="H7" i="5"/>
  <c r="O7" i="6"/>
  <c r="K14" i="1" l="1"/>
  <c r="H15" i="1" s="1"/>
  <c r="K12" i="1"/>
  <c r="H14" i="1" s="1"/>
  <c r="K13" i="1"/>
  <c r="H17" i="1" s="1"/>
  <c r="K10" i="7"/>
  <c r="O6" i="7" s="1"/>
  <c r="O7" i="7" s="1"/>
  <c r="H16" i="1" l="1"/>
  <c r="H18" i="1"/>
  <c r="O6" i="1" s="1"/>
  <c r="O7" i="1" s="1"/>
</calcChain>
</file>

<file path=xl/sharedStrings.xml><?xml version="1.0" encoding="utf-8"?>
<sst xmlns="http://schemas.openxmlformats.org/spreadsheetml/2006/main" count="214" uniqueCount="52">
  <si>
    <t>a</t>
  </si>
  <si>
    <t>b</t>
  </si>
  <si>
    <t>c</t>
  </si>
  <si>
    <t>d</t>
  </si>
  <si>
    <t>Plane 1</t>
  </si>
  <si>
    <t>Plane 2</t>
  </si>
  <si>
    <t>Interplanar Angles</t>
  </si>
  <si>
    <t>Cubic</t>
  </si>
  <si>
    <t>Type of Lattice:</t>
  </si>
  <si>
    <t>h</t>
  </si>
  <si>
    <t>k</t>
  </si>
  <si>
    <t>l</t>
  </si>
  <si>
    <t>Miller Indices</t>
  </si>
  <si>
    <t>Crystal Lattice</t>
  </si>
  <si>
    <t>Volume</t>
  </si>
  <si>
    <t>V</t>
  </si>
  <si>
    <t>Face Angles</t>
  </si>
  <si>
    <t>in deg</t>
  </si>
  <si>
    <t>in rad</t>
  </si>
  <si>
    <t>α</t>
  </si>
  <si>
    <t>β</t>
  </si>
  <si>
    <t>Interplanar Angle</t>
  </si>
  <si>
    <r>
      <t xml:space="preserve">cos </t>
    </r>
    <r>
      <rPr>
        <i/>
        <sz val="11"/>
        <color theme="1"/>
        <rFont val="Calibri"/>
        <family val="2"/>
      </rPr>
      <t>φ</t>
    </r>
  </si>
  <si>
    <t>φ</t>
  </si>
  <si>
    <r>
      <t xml:space="preserve">equals </t>
    </r>
    <r>
      <rPr>
        <i/>
        <sz val="11"/>
        <color theme="1"/>
        <rFont val="新細明體"/>
        <family val="2"/>
        <scheme val="minor"/>
      </rPr>
      <t>a</t>
    </r>
  </si>
  <si>
    <t>Tetragonal</t>
  </si>
  <si>
    <t>Hexagonal</t>
  </si>
  <si>
    <t>sin α</t>
  </si>
  <si>
    <t>cos α</t>
  </si>
  <si>
    <t>Rhombohedral</t>
  </si>
  <si>
    <t>γ</t>
  </si>
  <si>
    <t>Orthorhombic</t>
  </si>
  <si>
    <t>sin β</t>
  </si>
  <si>
    <t>cos β</t>
  </si>
  <si>
    <t>Monoclinic</t>
  </si>
  <si>
    <t>sin γ</t>
  </si>
  <si>
    <t>cos γ</t>
  </si>
  <si>
    <r>
      <t>S</t>
    </r>
    <r>
      <rPr>
        <vertAlign val="subscript"/>
        <sz val="11"/>
        <color theme="1"/>
        <rFont val="新細明體"/>
        <family val="2"/>
        <scheme val="minor"/>
      </rPr>
      <t>11</t>
    </r>
  </si>
  <si>
    <r>
      <t>S</t>
    </r>
    <r>
      <rPr>
        <vertAlign val="subscript"/>
        <sz val="11"/>
        <color theme="1"/>
        <rFont val="新細明體"/>
        <family val="2"/>
        <scheme val="minor"/>
      </rPr>
      <t>22</t>
    </r>
  </si>
  <si>
    <r>
      <t>S</t>
    </r>
    <r>
      <rPr>
        <vertAlign val="subscript"/>
        <sz val="11"/>
        <color theme="1"/>
        <rFont val="新細明體"/>
        <family val="2"/>
        <scheme val="minor"/>
      </rPr>
      <t>33</t>
    </r>
  </si>
  <si>
    <r>
      <t>S</t>
    </r>
    <r>
      <rPr>
        <vertAlign val="subscript"/>
        <sz val="11"/>
        <color theme="1"/>
        <rFont val="新細明體"/>
        <family val="2"/>
        <scheme val="minor"/>
      </rPr>
      <t>12</t>
    </r>
  </si>
  <si>
    <r>
      <t>S</t>
    </r>
    <r>
      <rPr>
        <vertAlign val="subscript"/>
        <sz val="11"/>
        <color theme="1"/>
        <rFont val="新細明體"/>
        <family val="2"/>
        <scheme val="minor"/>
      </rPr>
      <t>23</t>
    </r>
  </si>
  <si>
    <r>
      <t>S</t>
    </r>
    <r>
      <rPr>
        <vertAlign val="subscript"/>
        <sz val="11"/>
        <color theme="1"/>
        <rFont val="新細明體"/>
        <family val="2"/>
        <scheme val="minor"/>
      </rPr>
      <t>13</t>
    </r>
  </si>
  <si>
    <t>Triclinic</t>
  </si>
  <si>
    <t>d-Spacings</t>
  </si>
  <si>
    <t xml:space="preserve">Note: this program is for your learning practice only. This program is not responsible for any validation of any analysis using this program. </t>
    <phoneticPr fontId="6" type="noConversion"/>
  </si>
  <si>
    <t>a</t>
    <phoneticPr fontId="6" type="noConversion"/>
  </si>
  <si>
    <t>c</t>
    <phoneticPr fontId="6" type="noConversion"/>
  </si>
  <si>
    <t>h</t>
    <phoneticPr fontId="6" type="noConversion"/>
  </si>
  <si>
    <t>k</t>
    <phoneticPr fontId="6" type="noConversion"/>
  </si>
  <si>
    <t>l</t>
    <phoneticPr fontId="6" type="noConversion"/>
  </si>
  <si>
    <t>cos thetha value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</si>
</sst>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新細明體"/>
      <family val="2"/>
      <scheme val="minor"/>
    </font>
    <font>
      <sz val="11"/>
      <color theme="0"/>
      <name val="新細明體"/>
      <family val="2"/>
      <scheme val="minor"/>
    </font>
    <font>
      <i/>
      <sz val="11"/>
      <color theme="1"/>
      <name val="新細明體"/>
      <family val="2"/>
      <scheme val="minor"/>
    </font>
    <font>
      <i/>
      <sz val="11"/>
      <color theme="1"/>
      <name val="Calibri"/>
      <family val="2"/>
    </font>
    <font>
      <sz val="11"/>
      <name val="新細明體"/>
      <family val="2"/>
      <scheme val="minor"/>
    </font>
    <font>
      <vertAlign val="subscript"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right"/>
    </xf>
    <xf numFmtId="0" fontId="0" fillId="3" borderId="1" xfId="0" applyFill="1" applyBorder="1"/>
    <xf numFmtId="0" fontId="0" fillId="0" borderId="1" xfId="0" applyFill="1" applyBorder="1"/>
    <xf numFmtId="0" fontId="1" fillId="0" borderId="0" xfId="0" applyFont="1"/>
    <xf numFmtId="0" fontId="1" fillId="3" borderId="1" xfId="0" applyFont="1" applyFill="1" applyBorder="1"/>
    <xf numFmtId="2" fontId="0" fillId="0" borderId="1" xfId="0" applyNumberFormat="1" applyFill="1" applyBorder="1"/>
    <xf numFmtId="2" fontId="0" fillId="3" borderId="1" xfId="0" applyNumberFormat="1" applyFill="1" applyBorder="1"/>
    <xf numFmtId="2" fontId="0" fillId="0" borderId="1" xfId="0" applyNumberFormat="1" applyBorder="1"/>
    <xf numFmtId="2" fontId="1" fillId="3" borderId="0" xfId="0" applyNumberFormat="1" applyFont="1" applyFill="1"/>
    <xf numFmtId="0" fontId="3" fillId="0" borderId="0" xfId="0" applyFont="1" applyFill="1" applyAlignment="1">
      <alignment horizontal="right"/>
    </xf>
    <xf numFmtId="0" fontId="1" fillId="3" borderId="2" xfId="0" applyFont="1" applyFill="1" applyBorder="1"/>
    <xf numFmtId="0" fontId="0" fillId="0" borderId="2" xfId="0" applyFill="1" applyBorder="1"/>
    <xf numFmtId="0" fontId="4" fillId="0" borderId="1" xfId="0" applyFont="1" applyFill="1" applyBorder="1"/>
    <xf numFmtId="0" fontId="1" fillId="3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4" borderId="0" xfId="0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1"/>
  <sheetViews>
    <sheetView workbookViewId="0"/>
  </sheetViews>
  <sheetFormatPr defaultRowHeight="15.75" x14ac:dyDescent="0.25"/>
  <cols>
    <col min="4" max="4" width="9.5703125" customWidth="1"/>
  </cols>
  <sheetData>
    <row r="1" spans="1:15" x14ac:dyDescent="0.25">
      <c r="A1" t="s">
        <v>45</v>
      </c>
    </row>
    <row r="2" spans="1:15" x14ac:dyDescent="0.25">
      <c r="C2" s="20" t="s">
        <v>6</v>
      </c>
      <c r="D2" s="20"/>
    </row>
    <row r="3" spans="1:15" x14ac:dyDescent="0.25">
      <c r="C3" s="20" t="s">
        <v>8</v>
      </c>
      <c r="D3" s="20"/>
      <c r="E3" t="s">
        <v>7</v>
      </c>
    </row>
    <row r="5" spans="1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1:15" x14ac:dyDescent="0.25">
      <c r="D6" s="3" t="s">
        <v>4</v>
      </c>
      <c r="E6" s="3" t="s">
        <v>5</v>
      </c>
      <c r="G6" s="2" t="s">
        <v>0</v>
      </c>
      <c r="H6" s="5">
        <v>1</v>
      </c>
      <c r="K6" t="s">
        <v>17</v>
      </c>
      <c r="L6" t="s">
        <v>18</v>
      </c>
      <c r="N6" s="2" t="s">
        <v>22</v>
      </c>
      <c r="O6" s="11">
        <f>((D7*E7)+(D8*E8)+(D9*E9))/SQRT((D7^2+D8^2+D9^2)*(E7^2+E8^2+E9^2))</f>
        <v>0</v>
      </c>
    </row>
    <row r="7" spans="1:15" x14ac:dyDescent="0.25">
      <c r="C7" s="2" t="s">
        <v>9</v>
      </c>
      <c r="D7" s="3">
        <v>1</v>
      </c>
      <c r="E7" s="3">
        <v>0</v>
      </c>
      <c r="G7" s="2" t="s">
        <v>1</v>
      </c>
      <c r="H7" s="5">
        <v>1</v>
      </c>
      <c r="J7" s="4" t="s">
        <v>19</v>
      </c>
      <c r="K7" s="8">
        <v>90</v>
      </c>
      <c r="L7" s="8"/>
      <c r="N7" s="4" t="s">
        <v>23</v>
      </c>
      <c r="O7" s="11">
        <f>ACOS(O6)*180/PI()</f>
        <v>90</v>
      </c>
    </row>
    <row r="8" spans="1:15" x14ac:dyDescent="0.25">
      <c r="C8" s="2" t="s">
        <v>10</v>
      </c>
      <c r="D8" s="3">
        <v>1</v>
      </c>
      <c r="E8" s="3">
        <v>0</v>
      </c>
      <c r="G8" s="2" t="s">
        <v>2</v>
      </c>
      <c r="H8" s="5">
        <v>1</v>
      </c>
      <c r="J8" s="4" t="s">
        <v>20</v>
      </c>
      <c r="K8" s="8">
        <v>90</v>
      </c>
      <c r="L8" s="8"/>
    </row>
    <row r="9" spans="1:15" x14ac:dyDescent="0.25">
      <c r="C9" s="2" t="s">
        <v>11</v>
      </c>
      <c r="D9" s="3">
        <v>0</v>
      </c>
      <c r="E9" s="3">
        <v>1</v>
      </c>
      <c r="G9" s="19" t="s">
        <v>14</v>
      </c>
      <c r="H9" s="19"/>
      <c r="J9" s="13" t="s">
        <v>30</v>
      </c>
      <c r="K9" s="14">
        <v>90</v>
      </c>
      <c r="L9" s="8"/>
    </row>
    <row r="10" spans="1:15" x14ac:dyDescent="0.25">
      <c r="C10" s="18" t="s">
        <v>44</v>
      </c>
      <c r="D10" s="18"/>
      <c r="E10" s="18"/>
      <c r="G10" s="1" t="s">
        <v>15</v>
      </c>
      <c r="H10" s="5">
        <v>1</v>
      </c>
    </row>
    <row r="11" spans="1:15" x14ac:dyDescent="0.25">
      <c r="C11" s="2" t="s">
        <v>3</v>
      </c>
      <c r="D11" s="5">
        <v>1</v>
      </c>
      <c r="E11" s="5">
        <v>1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5"/>
  <sheetViews>
    <sheetView tabSelected="1" workbookViewId="0">
      <selection activeCell="L15" sqref="L15"/>
    </sheetView>
  </sheetViews>
  <sheetFormatPr defaultRowHeight="15.75" x14ac:dyDescent="0.25"/>
  <cols>
    <col min="4" max="4" width="9.5703125" customWidth="1"/>
  </cols>
  <sheetData>
    <row r="1" spans="1:23" x14ac:dyDescent="0.25">
      <c r="A1" t="s">
        <v>45</v>
      </c>
    </row>
    <row r="2" spans="1:23" x14ac:dyDescent="0.25">
      <c r="C2" s="20" t="s">
        <v>6</v>
      </c>
      <c r="D2" s="20"/>
    </row>
    <row r="3" spans="1:23" x14ac:dyDescent="0.25">
      <c r="C3" s="20" t="s">
        <v>8</v>
      </c>
      <c r="D3" s="20"/>
      <c r="E3" t="s">
        <v>25</v>
      </c>
    </row>
    <row r="5" spans="1:23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1:23" x14ac:dyDescent="0.25">
      <c r="D6" s="3" t="s">
        <v>4</v>
      </c>
      <c r="E6" s="3" t="s">
        <v>5</v>
      </c>
      <c r="G6" s="2" t="s">
        <v>0</v>
      </c>
      <c r="H6" s="6">
        <v>3.73</v>
      </c>
      <c r="K6" t="s">
        <v>17</v>
      </c>
      <c r="L6" t="s">
        <v>18</v>
      </c>
      <c r="N6" s="2" t="s">
        <v>22</v>
      </c>
      <c r="O6" s="11">
        <f>(((D7*E7)+(D8*E8))/H6^2+(D9+E9)/H8^2)/(SQRT(((D7^2+D8^2)/H6^2+D9^2/H8^2)*((E7^2+E8^2)/H6^2+E9^2/H8^2)))</f>
        <v>1.0027059275885495</v>
      </c>
    </row>
    <row r="7" spans="1:23" x14ac:dyDescent="0.25">
      <c r="C7" s="2" t="s">
        <v>9</v>
      </c>
      <c r="D7" s="3">
        <v>1</v>
      </c>
      <c r="E7" s="3">
        <v>2</v>
      </c>
      <c r="G7" s="2" t="s">
        <v>1</v>
      </c>
      <c r="H7" s="8">
        <f>H6</f>
        <v>3.73</v>
      </c>
      <c r="I7" t="s">
        <v>24</v>
      </c>
      <c r="J7" s="4" t="s">
        <v>19</v>
      </c>
      <c r="K7" s="8">
        <v>90</v>
      </c>
      <c r="L7" s="8"/>
      <c r="N7" s="4" t="s">
        <v>23</v>
      </c>
      <c r="O7" s="11" t="e">
        <f>ACOS(O6)*180/PI()</f>
        <v>#NUM!</v>
      </c>
    </row>
    <row r="8" spans="1:23" x14ac:dyDescent="0.25">
      <c r="C8" s="2" t="s">
        <v>10</v>
      </c>
      <c r="D8" s="3">
        <v>0</v>
      </c>
      <c r="E8" s="3">
        <v>0</v>
      </c>
      <c r="G8" s="2" t="s">
        <v>2</v>
      </c>
      <c r="H8" s="6">
        <v>9.3699999999999992</v>
      </c>
      <c r="J8" s="4" t="s">
        <v>20</v>
      </c>
      <c r="K8" s="8">
        <v>90</v>
      </c>
      <c r="L8" s="8"/>
    </row>
    <row r="9" spans="1:23" x14ac:dyDescent="0.25">
      <c r="C9" s="2" t="s">
        <v>11</v>
      </c>
      <c r="D9" s="3">
        <v>1</v>
      </c>
      <c r="E9" s="3">
        <v>0</v>
      </c>
      <c r="G9" s="19" t="s">
        <v>14</v>
      </c>
      <c r="H9" s="19"/>
      <c r="J9" s="13" t="s">
        <v>30</v>
      </c>
      <c r="K9" s="14">
        <v>90</v>
      </c>
      <c r="L9" s="8"/>
    </row>
    <row r="10" spans="1:23" x14ac:dyDescent="0.25">
      <c r="C10" s="18" t="s">
        <v>44</v>
      </c>
      <c r="D10" s="18"/>
      <c r="E10" s="18"/>
      <c r="G10" s="1" t="s">
        <v>15</v>
      </c>
      <c r="H10" s="5">
        <v>1</v>
      </c>
      <c r="I10" s="7"/>
    </row>
    <row r="11" spans="1:23" x14ac:dyDescent="0.25">
      <c r="C11" s="2" t="s">
        <v>3</v>
      </c>
      <c r="D11" s="5">
        <v>1</v>
      </c>
      <c r="E11" s="5">
        <v>1</v>
      </c>
    </row>
    <row r="13" spans="1:23" x14ac:dyDescent="0.25">
      <c r="W13">
        <v>0.92909086648544992</v>
      </c>
    </row>
    <row r="14" spans="1:23" x14ac:dyDescent="0.25">
      <c r="V14" s="2" t="s">
        <v>22</v>
      </c>
      <c r="W14" s="11" t="e">
        <f>(((L15*M15)+(L16*M16))/P14^2+(L17+M17)/P16^2)/(SQRT(((L15^2+L16^2)/P14^2+L17^2/P16^2)*((M15^2+M16^2)/P14^2+M17^2/P16^2)))</f>
        <v>#DIV/0!</v>
      </c>
    </row>
    <row r="15" spans="1:23" x14ac:dyDescent="0.25">
      <c r="V15" s="4" t="s">
        <v>23</v>
      </c>
      <c r="W15" s="11">
        <f>ACOS(W13)*180/PI()</f>
        <v>21.706461678657305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1"/>
  <sheetViews>
    <sheetView workbookViewId="0"/>
  </sheetViews>
  <sheetFormatPr defaultRowHeight="15.75" x14ac:dyDescent="0.25"/>
  <cols>
    <col min="4" max="4" width="9.5703125" customWidth="1"/>
  </cols>
  <sheetData>
    <row r="1" spans="1:15" x14ac:dyDescent="0.25">
      <c r="A1" t="s">
        <v>45</v>
      </c>
    </row>
    <row r="2" spans="1:15" x14ac:dyDescent="0.25">
      <c r="C2" s="20" t="s">
        <v>6</v>
      </c>
      <c r="D2" s="20"/>
    </row>
    <row r="3" spans="1:15" x14ac:dyDescent="0.25">
      <c r="C3" s="20" t="s">
        <v>8</v>
      </c>
      <c r="D3" s="20"/>
      <c r="E3" t="s">
        <v>26</v>
      </c>
    </row>
    <row r="5" spans="1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1:15" x14ac:dyDescent="0.25">
      <c r="D6" s="3" t="s">
        <v>4</v>
      </c>
      <c r="E6" s="3" t="s">
        <v>5</v>
      </c>
      <c r="G6" s="2" t="s">
        <v>0</v>
      </c>
      <c r="H6" s="6">
        <v>1</v>
      </c>
      <c r="K6" t="s">
        <v>17</v>
      </c>
      <c r="L6" t="s">
        <v>18</v>
      </c>
      <c r="N6" s="2" t="s">
        <v>22</v>
      </c>
      <c r="O6" s="11">
        <f>((D7*E7)+(D7*E8+E7*D8)/2+3*H6^2*D9*E9/(4*H8^2))/((D7^2+D8^2+D7*D8+3*H6^2*D9^2/(4*H8^2))*(E7^2+E8^2+E7*E8+3*H6^2*E9^2/(4*H8^2)))</f>
        <v>0.5</v>
      </c>
    </row>
    <row r="7" spans="1:15" x14ac:dyDescent="0.25">
      <c r="C7" s="2" t="s">
        <v>9</v>
      </c>
      <c r="D7" s="3">
        <v>1</v>
      </c>
      <c r="E7" s="3">
        <v>0</v>
      </c>
      <c r="G7" s="2" t="s">
        <v>1</v>
      </c>
      <c r="H7" s="8">
        <f>H6</f>
        <v>1</v>
      </c>
      <c r="J7" s="4" t="s">
        <v>19</v>
      </c>
      <c r="K7" s="8">
        <v>90</v>
      </c>
      <c r="L7" s="8"/>
      <c r="N7" s="4" t="s">
        <v>23</v>
      </c>
      <c r="O7" s="11">
        <f>ACOS(O6)*180/PI()</f>
        <v>59.999999999999993</v>
      </c>
    </row>
    <row r="8" spans="1:15" x14ac:dyDescent="0.25">
      <c r="C8" s="2" t="s">
        <v>10</v>
      </c>
      <c r="D8" s="3">
        <v>0</v>
      </c>
      <c r="E8" s="3">
        <v>1</v>
      </c>
      <c r="G8" s="2" t="s">
        <v>2</v>
      </c>
      <c r="H8" s="6">
        <v>1</v>
      </c>
      <c r="J8" s="4" t="s">
        <v>20</v>
      </c>
      <c r="K8" s="8">
        <v>90</v>
      </c>
      <c r="L8" s="8"/>
    </row>
    <row r="9" spans="1:15" x14ac:dyDescent="0.25">
      <c r="C9" s="2" t="s">
        <v>11</v>
      </c>
      <c r="D9" s="3">
        <v>0</v>
      </c>
      <c r="E9" s="3">
        <v>0</v>
      </c>
      <c r="G9" s="19" t="s">
        <v>14</v>
      </c>
      <c r="H9" s="19"/>
      <c r="J9" s="13" t="s">
        <v>30</v>
      </c>
      <c r="K9" s="14">
        <v>120</v>
      </c>
      <c r="L9" s="8"/>
    </row>
    <row r="10" spans="1:15" x14ac:dyDescent="0.25">
      <c r="C10" s="18" t="s">
        <v>44</v>
      </c>
      <c r="D10" s="18"/>
      <c r="E10" s="18"/>
      <c r="G10" s="1" t="s">
        <v>15</v>
      </c>
      <c r="H10" s="5">
        <v>1</v>
      </c>
    </row>
    <row r="11" spans="1:15" x14ac:dyDescent="0.25">
      <c r="C11" s="2" t="s">
        <v>3</v>
      </c>
      <c r="D11" s="5">
        <v>1</v>
      </c>
      <c r="E11" s="5">
        <v>1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O11"/>
  <sheetViews>
    <sheetView topLeftCell="C1" workbookViewId="0">
      <selection activeCell="C1" sqref="C1"/>
    </sheetView>
  </sheetViews>
  <sheetFormatPr defaultRowHeight="15.75" x14ac:dyDescent="0.25"/>
  <cols>
    <col min="4" max="4" width="9.5703125" customWidth="1"/>
    <col min="11" max="11" width="9.140625" customWidth="1"/>
  </cols>
  <sheetData>
    <row r="1" spans="3:15" x14ac:dyDescent="0.25">
      <c r="C1" t="s">
        <v>45</v>
      </c>
    </row>
    <row r="2" spans="3:15" x14ac:dyDescent="0.25">
      <c r="C2" s="20" t="s">
        <v>6</v>
      </c>
      <c r="D2" s="20"/>
    </row>
    <row r="3" spans="3:15" x14ac:dyDescent="0.25">
      <c r="C3" s="20" t="s">
        <v>8</v>
      </c>
      <c r="D3" s="20"/>
      <c r="E3" t="s">
        <v>29</v>
      </c>
    </row>
    <row r="5" spans="3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3:15" x14ac:dyDescent="0.25">
      <c r="D6" s="3" t="s">
        <v>4</v>
      </c>
      <c r="E6" s="3" t="s">
        <v>5</v>
      </c>
      <c r="G6" s="2" t="s">
        <v>0</v>
      </c>
      <c r="H6" s="6">
        <v>1</v>
      </c>
      <c r="K6" t="s">
        <v>17</v>
      </c>
      <c r="L6" t="s">
        <v>18</v>
      </c>
      <c r="N6" s="2" t="s">
        <v>22</v>
      </c>
      <c r="O6" s="11">
        <f>(H6^4*D11*E11)/(H10^2)*(K10^2*(D7*E7+D8*E8+D9*E9)+(K11^2-K11)*(D8*E9+E8*D9+D9*E7+E9*D7+D7*E8+E7*D8))</f>
        <v>0</v>
      </c>
    </row>
    <row r="7" spans="3:15" x14ac:dyDescent="0.25">
      <c r="C7" s="2" t="s">
        <v>9</v>
      </c>
      <c r="D7" s="3">
        <v>1</v>
      </c>
      <c r="E7" s="3">
        <v>0</v>
      </c>
      <c r="G7" s="2" t="s">
        <v>1</v>
      </c>
      <c r="H7" s="8">
        <f>H6</f>
        <v>1</v>
      </c>
      <c r="J7" s="4" t="s">
        <v>19</v>
      </c>
      <c r="K7" s="6">
        <v>90</v>
      </c>
      <c r="L7" s="9">
        <f>K7*PI()/180</f>
        <v>1.5707963267948966</v>
      </c>
      <c r="N7" s="4" t="s">
        <v>23</v>
      </c>
      <c r="O7" s="11">
        <f>ACOS(O6)*180/PI()</f>
        <v>90</v>
      </c>
    </row>
    <row r="8" spans="3:15" x14ac:dyDescent="0.25">
      <c r="C8" s="2" t="s">
        <v>10</v>
      </c>
      <c r="D8" s="3">
        <v>0</v>
      </c>
      <c r="E8" s="3">
        <v>1</v>
      </c>
      <c r="G8" s="2" t="s">
        <v>2</v>
      </c>
      <c r="H8" s="8">
        <f>H6</f>
        <v>1</v>
      </c>
      <c r="J8" s="13" t="s">
        <v>20</v>
      </c>
      <c r="K8" s="8">
        <v>90</v>
      </c>
      <c r="L8" s="10">
        <f>K8*PI()/180</f>
        <v>1.5707963267948966</v>
      </c>
    </row>
    <row r="9" spans="3:15" x14ac:dyDescent="0.25">
      <c r="C9" s="2" t="s">
        <v>11</v>
      </c>
      <c r="D9" s="3">
        <v>0</v>
      </c>
      <c r="E9" s="3">
        <v>0</v>
      </c>
      <c r="G9" s="19" t="s">
        <v>14</v>
      </c>
      <c r="H9" s="19"/>
      <c r="J9" s="13" t="s">
        <v>30</v>
      </c>
      <c r="K9" s="14">
        <v>90</v>
      </c>
      <c r="L9" s="5"/>
    </row>
    <row r="10" spans="3:15" x14ac:dyDescent="0.25">
      <c r="C10" s="18" t="s">
        <v>44</v>
      </c>
      <c r="D10" s="18"/>
      <c r="E10" s="18"/>
      <c r="G10" s="1" t="s">
        <v>15</v>
      </c>
      <c r="H10" s="8">
        <f>H6^3*(SQRT(1-3*K11^2+2*K11^2))</f>
        <v>1</v>
      </c>
      <c r="J10" s="4" t="s">
        <v>27</v>
      </c>
      <c r="K10" s="12">
        <f>SIN(L7)</f>
        <v>1</v>
      </c>
    </row>
    <row r="11" spans="3:15" x14ac:dyDescent="0.25">
      <c r="C11" s="2" t="s">
        <v>3</v>
      </c>
      <c r="D11" s="6">
        <v>1</v>
      </c>
      <c r="E11" s="6">
        <v>1</v>
      </c>
      <c r="J11" s="4" t="s">
        <v>28</v>
      </c>
      <c r="K11" s="12">
        <f>IF(K7=90, 0, COS(L7))</f>
        <v>0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11"/>
  <sheetViews>
    <sheetView workbookViewId="0"/>
  </sheetViews>
  <sheetFormatPr defaultRowHeight="15.75" x14ac:dyDescent="0.25"/>
  <cols>
    <col min="4" max="4" width="9.5703125" customWidth="1"/>
  </cols>
  <sheetData>
    <row r="1" spans="1:15" x14ac:dyDescent="0.25">
      <c r="A1" t="s">
        <v>45</v>
      </c>
    </row>
    <row r="2" spans="1:15" x14ac:dyDescent="0.25">
      <c r="C2" s="20" t="s">
        <v>6</v>
      </c>
      <c r="D2" s="20"/>
    </row>
    <row r="3" spans="1:15" x14ac:dyDescent="0.25">
      <c r="C3" s="20" t="s">
        <v>8</v>
      </c>
      <c r="D3" s="20"/>
      <c r="E3" t="s">
        <v>31</v>
      </c>
    </row>
    <row r="5" spans="1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1:15" x14ac:dyDescent="0.25">
      <c r="D6" s="3" t="s">
        <v>4</v>
      </c>
      <c r="E6" s="3" t="s">
        <v>5</v>
      </c>
      <c r="G6" s="2" t="s">
        <v>0</v>
      </c>
      <c r="H6" s="6">
        <v>1</v>
      </c>
      <c r="K6" t="s">
        <v>17</v>
      </c>
      <c r="L6" t="s">
        <v>18</v>
      </c>
      <c r="N6" s="2" t="s">
        <v>22</v>
      </c>
      <c r="O6" s="3">
        <f>(D7*E7/H6^2+D8*E8/H7^2+D9*E9/H8^2)/(SQRT((D7^2/H6^2+D8^2/H7^2+D9^2/H8^2)*(E7^2/H6^2+E8^2/H7^2+E9^2/H8^2)))</f>
        <v>0</v>
      </c>
    </row>
    <row r="7" spans="1:15" x14ac:dyDescent="0.25">
      <c r="C7" s="2" t="s">
        <v>9</v>
      </c>
      <c r="D7" s="3">
        <v>1</v>
      </c>
      <c r="E7" s="3">
        <v>0</v>
      </c>
      <c r="G7" s="2" t="s">
        <v>1</v>
      </c>
      <c r="H7" s="6">
        <v>1</v>
      </c>
      <c r="J7" s="4" t="s">
        <v>19</v>
      </c>
      <c r="K7" s="8">
        <v>90</v>
      </c>
      <c r="L7" s="5"/>
      <c r="N7" s="4" t="s">
        <v>23</v>
      </c>
      <c r="O7" s="3">
        <f>ACOS(O6)*180/PI()</f>
        <v>90</v>
      </c>
    </row>
    <row r="8" spans="1:15" x14ac:dyDescent="0.25">
      <c r="C8" s="2" t="s">
        <v>10</v>
      </c>
      <c r="D8" s="3">
        <v>0</v>
      </c>
      <c r="E8" s="3">
        <v>1</v>
      </c>
      <c r="G8" s="2" t="s">
        <v>2</v>
      </c>
      <c r="H8" s="6">
        <v>1</v>
      </c>
      <c r="J8" s="4" t="s">
        <v>20</v>
      </c>
      <c r="K8" s="8">
        <v>90</v>
      </c>
      <c r="L8" s="5"/>
    </row>
    <row r="9" spans="1:15" x14ac:dyDescent="0.25">
      <c r="C9" s="2" t="s">
        <v>11</v>
      </c>
      <c r="D9" s="3">
        <v>0</v>
      </c>
      <c r="E9" s="3">
        <v>0</v>
      </c>
      <c r="G9" s="19" t="s">
        <v>14</v>
      </c>
      <c r="H9" s="19"/>
      <c r="J9" s="13" t="s">
        <v>30</v>
      </c>
      <c r="K9" s="14">
        <v>90</v>
      </c>
      <c r="L9" s="5"/>
    </row>
    <row r="10" spans="1:15" x14ac:dyDescent="0.25">
      <c r="C10" s="18" t="s">
        <v>44</v>
      </c>
      <c r="D10" s="18"/>
      <c r="E10" s="18"/>
      <c r="G10" s="1" t="s">
        <v>15</v>
      </c>
      <c r="H10" s="5">
        <v>1</v>
      </c>
    </row>
    <row r="11" spans="1:15" x14ac:dyDescent="0.25">
      <c r="C11" s="2" t="s">
        <v>3</v>
      </c>
      <c r="D11" s="5">
        <v>1</v>
      </c>
      <c r="E11" s="5">
        <v>1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11"/>
  <sheetViews>
    <sheetView workbookViewId="0"/>
  </sheetViews>
  <sheetFormatPr defaultRowHeight="15.75" x14ac:dyDescent="0.25"/>
  <cols>
    <col min="4" max="4" width="9.5703125" customWidth="1"/>
  </cols>
  <sheetData>
    <row r="1" spans="1:15" x14ac:dyDescent="0.25">
      <c r="A1" t="s">
        <v>45</v>
      </c>
    </row>
    <row r="2" spans="1:15" x14ac:dyDescent="0.25">
      <c r="C2" s="20" t="s">
        <v>6</v>
      </c>
      <c r="D2" s="20"/>
    </row>
    <row r="3" spans="1:15" x14ac:dyDescent="0.25">
      <c r="C3" s="20" t="s">
        <v>8</v>
      </c>
      <c r="D3" s="20"/>
      <c r="E3" t="s">
        <v>34</v>
      </c>
    </row>
    <row r="5" spans="1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1:15" x14ac:dyDescent="0.25">
      <c r="D6" s="3" t="s">
        <v>4</v>
      </c>
      <c r="E6" s="3" t="s">
        <v>5</v>
      </c>
      <c r="G6" s="2" t="s">
        <v>0</v>
      </c>
      <c r="H6" s="6">
        <v>1</v>
      </c>
      <c r="K6" t="s">
        <v>17</v>
      </c>
      <c r="L6" t="s">
        <v>18</v>
      </c>
      <c r="N6" s="2" t="s">
        <v>22</v>
      </c>
      <c r="O6" s="3">
        <f>D11*E11/K10^2*(D7*E7/H6^2+D8*E8*K10^2/H7^2+D9*E9/H8^2-(D9*E7+E9*D7)*K11/(H6*H8))</f>
        <v>0</v>
      </c>
    </row>
    <row r="7" spans="1:15" x14ac:dyDescent="0.25">
      <c r="C7" s="2" t="s">
        <v>9</v>
      </c>
      <c r="D7" s="3">
        <v>1</v>
      </c>
      <c r="E7" s="3">
        <v>0</v>
      </c>
      <c r="G7" s="2" t="s">
        <v>1</v>
      </c>
      <c r="H7" s="6">
        <v>1</v>
      </c>
      <c r="J7" s="4" t="s">
        <v>19</v>
      </c>
      <c r="K7" s="8">
        <v>90</v>
      </c>
      <c r="L7" s="8"/>
      <c r="N7" s="4" t="s">
        <v>23</v>
      </c>
      <c r="O7" s="3">
        <f>ACOS(O6)*180/PI()</f>
        <v>90</v>
      </c>
    </row>
    <row r="8" spans="1:15" x14ac:dyDescent="0.25">
      <c r="C8" s="2" t="s">
        <v>10</v>
      </c>
      <c r="D8" s="3">
        <v>0</v>
      </c>
      <c r="E8" s="3">
        <v>0</v>
      </c>
      <c r="G8" s="2" t="s">
        <v>2</v>
      </c>
      <c r="H8" s="6">
        <v>1</v>
      </c>
      <c r="J8" s="4" t="s">
        <v>20</v>
      </c>
      <c r="K8" s="6">
        <v>90</v>
      </c>
      <c r="L8" s="6">
        <f>K8*PI()/180</f>
        <v>1.5707963267948966</v>
      </c>
    </row>
    <row r="9" spans="1:15" x14ac:dyDescent="0.25">
      <c r="C9" s="2" t="s">
        <v>11</v>
      </c>
      <c r="D9" s="3">
        <v>0</v>
      </c>
      <c r="E9" s="3">
        <v>1</v>
      </c>
      <c r="G9" s="19" t="s">
        <v>14</v>
      </c>
      <c r="H9" s="19"/>
      <c r="J9" s="13" t="s">
        <v>30</v>
      </c>
      <c r="K9" s="14">
        <v>90</v>
      </c>
      <c r="L9" s="5"/>
    </row>
    <row r="10" spans="1:15" x14ac:dyDescent="0.25">
      <c r="C10" s="18" t="s">
        <v>44</v>
      </c>
      <c r="D10" s="18"/>
      <c r="E10" s="18"/>
      <c r="G10" s="1" t="s">
        <v>15</v>
      </c>
      <c r="H10" s="5">
        <v>1</v>
      </c>
      <c r="J10" s="4" t="s">
        <v>32</v>
      </c>
      <c r="K10" s="12">
        <f>SIN(L8)</f>
        <v>1</v>
      </c>
    </row>
    <row r="11" spans="1:15" x14ac:dyDescent="0.25">
      <c r="C11" s="2" t="s">
        <v>3</v>
      </c>
      <c r="D11" s="6">
        <v>1</v>
      </c>
      <c r="E11" s="6">
        <v>1</v>
      </c>
      <c r="J11" s="4" t="s">
        <v>33</v>
      </c>
      <c r="K11" s="12">
        <f>IF(K8=90, 0, COS(L8))</f>
        <v>0</v>
      </c>
    </row>
  </sheetData>
  <mergeCells count="7">
    <mergeCell ref="J5:L5"/>
    <mergeCell ref="G9:H9"/>
    <mergeCell ref="C10:E10"/>
    <mergeCell ref="C2:D2"/>
    <mergeCell ref="C3:D3"/>
    <mergeCell ref="C5:E5"/>
    <mergeCell ref="G5:H5"/>
  </mergeCells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O18"/>
  <sheetViews>
    <sheetView topLeftCell="D1" workbookViewId="0">
      <selection activeCell="D1" sqref="D1"/>
    </sheetView>
  </sheetViews>
  <sheetFormatPr defaultRowHeight="15.75" x14ac:dyDescent="0.25"/>
  <cols>
    <col min="4" max="4" width="9.5703125" customWidth="1"/>
  </cols>
  <sheetData>
    <row r="1" spans="3:15" x14ac:dyDescent="0.25">
      <c r="D1" t="s">
        <v>45</v>
      </c>
    </row>
    <row r="2" spans="3:15" x14ac:dyDescent="0.25">
      <c r="C2" s="20" t="s">
        <v>6</v>
      </c>
      <c r="D2" s="20"/>
    </row>
    <row r="3" spans="3:15" x14ac:dyDescent="0.25">
      <c r="C3" s="20" t="s">
        <v>8</v>
      </c>
      <c r="D3" s="20"/>
      <c r="E3" t="s">
        <v>43</v>
      </c>
    </row>
    <row r="5" spans="3:15" x14ac:dyDescent="0.25">
      <c r="C5" s="18" t="s">
        <v>12</v>
      </c>
      <c r="D5" s="18"/>
      <c r="E5" s="18"/>
      <c r="G5" s="18" t="s">
        <v>13</v>
      </c>
      <c r="H5" s="18"/>
      <c r="J5" s="18" t="s">
        <v>16</v>
      </c>
      <c r="K5" s="18"/>
      <c r="L5" s="18"/>
      <c r="N5" t="s">
        <v>21</v>
      </c>
    </row>
    <row r="6" spans="3:15" x14ac:dyDescent="0.25">
      <c r="D6" s="3" t="s">
        <v>4</v>
      </c>
      <c r="E6" s="3" t="s">
        <v>5</v>
      </c>
      <c r="G6" s="2" t="s">
        <v>0</v>
      </c>
      <c r="H6" s="6">
        <v>1</v>
      </c>
      <c r="K6" t="s">
        <v>17</v>
      </c>
      <c r="L6" t="s">
        <v>18</v>
      </c>
      <c r="N6" s="2" t="s">
        <v>22</v>
      </c>
      <c r="O6" s="3">
        <f>D11*E11/H10*(H13*D7*E7+H14*D8*E8+H15*D9*E9+H17*(D8*E9+E8*D9)+H18*(D9*E7+E9*D7)+H16*(D7*E8+E7*D8))</f>
        <v>0</v>
      </c>
    </row>
    <row r="7" spans="3:15" x14ac:dyDescent="0.25">
      <c r="C7" s="2" t="s">
        <v>9</v>
      </c>
      <c r="D7" s="3">
        <v>1</v>
      </c>
      <c r="E7" s="3">
        <v>0</v>
      </c>
      <c r="G7" s="2" t="s">
        <v>1</v>
      </c>
      <c r="H7" s="6">
        <v>1</v>
      </c>
      <c r="J7" s="4" t="s">
        <v>19</v>
      </c>
      <c r="K7" s="6">
        <v>90</v>
      </c>
      <c r="L7" s="6">
        <f>K7*PI()/180</f>
        <v>1.5707963267948966</v>
      </c>
      <c r="N7" s="4" t="s">
        <v>23</v>
      </c>
      <c r="O7" s="3">
        <f>ACOS(O6)*180/PI()</f>
        <v>90</v>
      </c>
    </row>
    <row r="8" spans="3:15" x14ac:dyDescent="0.25">
      <c r="C8" s="2" t="s">
        <v>10</v>
      </c>
      <c r="D8" s="3">
        <v>0</v>
      </c>
      <c r="E8" s="3">
        <v>1</v>
      </c>
      <c r="G8" s="2" t="s">
        <v>2</v>
      </c>
      <c r="H8" s="6">
        <v>1</v>
      </c>
      <c r="J8" s="4" t="s">
        <v>20</v>
      </c>
      <c r="K8" s="6">
        <v>90</v>
      </c>
      <c r="L8" s="6">
        <f t="shared" ref="L8:L9" si="0">K8*PI()/180</f>
        <v>1.5707963267948966</v>
      </c>
    </row>
    <row r="9" spans="3:15" x14ac:dyDescent="0.25">
      <c r="C9" s="2" t="s">
        <v>11</v>
      </c>
      <c r="D9" s="3">
        <v>0</v>
      </c>
      <c r="E9" s="3">
        <v>0</v>
      </c>
      <c r="G9" s="19" t="s">
        <v>14</v>
      </c>
      <c r="H9" s="19"/>
      <c r="J9" s="13" t="s">
        <v>30</v>
      </c>
      <c r="K9" s="15">
        <v>90</v>
      </c>
      <c r="L9" s="6">
        <f t="shared" si="0"/>
        <v>1.5707963267948966</v>
      </c>
    </row>
    <row r="10" spans="3:15" x14ac:dyDescent="0.25">
      <c r="C10" s="18" t="s">
        <v>44</v>
      </c>
      <c r="D10" s="18"/>
      <c r="E10" s="18"/>
      <c r="G10" s="1" t="s">
        <v>15</v>
      </c>
      <c r="H10" s="8">
        <f>H6*H7*H8*(SQRT(1-K11^2-K13^2-K15^2+2*K11*K13*K15))</f>
        <v>1</v>
      </c>
      <c r="J10" s="4" t="s">
        <v>27</v>
      </c>
      <c r="K10" s="17">
        <f>SIN(L7)</f>
        <v>1</v>
      </c>
    </row>
    <row r="11" spans="3:15" x14ac:dyDescent="0.25">
      <c r="C11" s="2" t="s">
        <v>3</v>
      </c>
      <c r="D11" s="16">
        <v>1</v>
      </c>
      <c r="E11" s="16">
        <v>1</v>
      </c>
      <c r="J11" s="4" t="s">
        <v>28</v>
      </c>
      <c r="K11" s="17">
        <f>IF(K8=90,0,COS(L8))</f>
        <v>0</v>
      </c>
    </row>
    <row r="12" spans="3:15" x14ac:dyDescent="0.25">
      <c r="G12" s="18"/>
      <c r="H12" s="18"/>
      <c r="J12" s="4" t="s">
        <v>32</v>
      </c>
      <c r="K12" s="17">
        <f>SIN(L8)</f>
        <v>1</v>
      </c>
    </row>
    <row r="13" spans="3:15" ht="18.75" x14ac:dyDescent="0.35">
      <c r="G13" t="s">
        <v>37</v>
      </c>
      <c r="H13">
        <f>H7^2*H8^2*K10^2</f>
        <v>1</v>
      </c>
      <c r="J13" s="4" t="s">
        <v>33</v>
      </c>
      <c r="K13" s="17">
        <f>IF(K8=90,0,COS(L8))</f>
        <v>0</v>
      </c>
    </row>
    <row r="14" spans="3:15" ht="18.75" x14ac:dyDescent="0.35">
      <c r="G14" t="s">
        <v>38</v>
      </c>
      <c r="H14">
        <f>H6^2*H8^2*K12^2</f>
        <v>1</v>
      </c>
      <c r="J14" s="13" t="s">
        <v>35</v>
      </c>
      <c r="K14" s="17">
        <f>SIN(L9)</f>
        <v>1</v>
      </c>
    </row>
    <row r="15" spans="3:15" ht="18.75" x14ac:dyDescent="0.35">
      <c r="G15" t="s">
        <v>39</v>
      </c>
      <c r="H15">
        <f>H6^2*H8^2*K14^2</f>
        <v>1</v>
      </c>
      <c r="J15" s="13" t="s">
        <v>36</v>
      </c>
      <c r="K15" s="17">
        <f>IF(K9=90,0,COS(L9))</f>
        <v>0</v>
      </c>
    </row>
    <row r="16" spans="3:15" ht="18.75" x14ac:dyDescent="0.35">
      <c r="G16" t="s">
        <v>40</v>
      </c>
      <c r="H16">
        <f>H6*H7*H8^2*(K11*K13-K15)</f>
        <v>0</v>
      </c>
    </row>
    <row r="17" spans="7:8" ht="18.75" x14ac:dyDescent="0.35">
      <c r="G17" t="s">
        <v>41</v>
      </c>
      <c r="H17">
        <f>H6^2*H7*H8*(K13*K15-K11)</f>
        <v>0</v>
      </c>
    </row>
    <row r="18" spans="7:8" ht="18.75" x14ac:dyDescent="0.35">
      <c r="G18" t="s">
        <v>42</v>
      </c>
      <c r="H18">
        <f>H6*H7^2*H8*(K15*K11-K13)</f>
        <v>0</v>
      </c>
    </row>
  </sheetData>
  <mergeCells count="8">
    <mergeCell ref="J5:L5"/>
    <mergeCell ref="G12:H12"/>
    <mergeCell ref="C3:D3"/>
    <mergeCell ref="C2:D2"/>
    <mergeCell ref="C5:E5"/>
    <mergeCell ref="C10:E10"/>
    <mergeCell ref="G5:H5"/>
    <mergeCell ref="G9:H9"/>
  </mergeCells>
  <phoneticPr fontId="6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8:T15"/>
  <sheetViews>
    <sheetView zoomScale="130" zoomScaleNormal="130" workbookViewId="0">
      <selection activeCell="M13" sqref="M13"/>
    </sheetView>
  </sheetViews>
  <sheetFormatPr defaultRowHeight="15.75" x14ac:dyDescent="0.25"/>
  <cols>
    <col min="14" max="14" width="16.5703125" customWidth="1"/>
  </cols>
  <sheetData>
    <row r="8" spans="8:20" x14ac:dyDescent="0.25">
      <c r="H8" t="s">
        <v>46</v>
      </c>
      <c r="I8">
        <v>3.73</v>
      </c>
      <c r="M8">
        <f>(I13*J13+I14*J14)/I8^2</f>
        <v>0.14375148243716263</v>
      </c>
      <c r="N8">
        <f>(I15*J15)/I9^2</f>
        <v>0</v>
      </c>
    </row>
    <row r="9" spans="8:20" x14ac:dyDescent="0.25">
      <c r="H9" t="s">
        <v>47</v>
      </c>
      <c r="I9">
        <v>9.3699999999999992</v>
      </c>
      <c r="M9" s="21">
        <f>(I13^2+I14^2)/I8^2</f>
        <v>7.1875741218581313E-2</v>
      </c>
      <c r="N9" s="21">
        <f>I15^2/I9^2</f>
        <v>1.1389923790019924E-2</v>
      </c>
      <c r="O9" s="21">
        <f>(J13^2+J14^2)/I8^2</f>
        <v>0.28750296487432525</v>
      </c>
      <c r="P9" s="21">
        <f>J15^2/I9^2</f>
        <v>0</v>
      </c>
    </row>
    <row r="10" spans="8:20" x14ac:dyDescent="0.25">
      <c r="M10" s="21">
        <f>(M9+N9)*(O9+P9)</f>
        <v>2.3939125562205215E-2</v>
      </c>
      <c r="N10" s="21"/>
      <c r="O10" s="21"/>
      <c r="P10" s="21"/>
    </row>
    <row r="11" spans="8:20" x14ac:dyDescent="0.25">
      <c r="M11" s="21">
        <f>SQRT(M10)</f>
        <v>0.15472273770265704</v>
      </c>
      <c r="N11" s="21"/>
      <c r="O11" s="21"/>
      <c r="P11" s="21"/>
    </row>
    <row r="12" spans="8:20" x14ac:dyDescent="0.25">
      <c r="M12" s="21"/>
      <c r="N12" s="21"/>
      <c r="O12" s="21"/>
      <c r="P12" s="21"/>
    </row>
    <row r="13" spans="8:20" x14ac:dyDescent="0.25">
      <c r="H13" t="s">
        <v>48</v>
      </c>
      <c r="I13">
        <v>1</v>
      </c>
      <c r="J13">
        <v>2</v>
      </c>
      <c r="M13">
        <f>(M8+N8)/M11</f>
        <v>0.92909086648544992</v>
      </c>
      <c r="N13" t="s">
        <v>51</v>
      </c>
      <c r="T13">
        <v>0.5</v>
      </c>
    </row>
    <row r="14" spans="8:20" x14ac:dyDescent="0.25">
      <c r="H14" t="s">
        <v>49</v>
      </c>
      <c r="I14">
        <v>0</v>
      </c>
      <c r="J14">
        <v>0</v>
      </c>
      <c r="M14">
        <f>ACOS(M13)</f>
        <v>0.37884922525054532</v>
      </c>
      <c r="T14">
        <f>ACOS(T13)</f>
        <v>1.0471975511965976</v>
      </c>
    </row>
    <row r="15" spans="8:20" x14ac:dyDescent="0.25">
      <c r="H15" t="s">
        <v>50</v>
      </c>
      <c r="I15">
        <v>1</v>
      </c>
      <c r="J15">
        <v>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cubic</vt:lpstr>
      <vt:lpstr>tetragonal</vt:lpstr>
      <vt:lpstr>hexagonal</vt:lpstr>
      <vt:lpstr>rhombohedral</vt:lpstr>
      <vt:lpstr>orthorhombic</vt:lpstr>
      <vt:lpstr>monoclinic</vt:lpstr>
      <vt:lpstr>triclinic</vt:lpstr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Valinton</dc:creator>
  <cp:lastModifiedBy>Adm</cp:lastModifiedBy>
  <dcterms:created xsi:type="dcterms:W3CDTF">2017-10-24T19:06:25Z</dcterms:created>
  <dcterms:modified xsi:type="dcterms:W3CDTF">2020-06-11T02:04:16Z</dcterms:modified>
</cp:coreProperties>
</file>